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lient Documents\"/>
    </mc:Choice>
  </mc:AlternateContent>
  <xr:revisionPtr revIDLastSave="0" documentId="8_{0221DF3B-C4BC-476A-A850-93E14E2FE694}" xr6:coauthVersionLast="45" xr6:coauthVersionMax="45" xr10:uidLastSave="{00000000-0000-0000-0000-000000000000}"/>
  <bookViews>
    <workbookView xWindow="3870" yWindow="285" windowWidth="19590" windowHeight="15240" xr2:uid="{00000000-000D-0000-FFFF-FFFF00000000}"/>
  </bookViews>
  <sheets>
    <sheet name="Labor Burden" sheetId="1" r:id="rId1"/>
    <sheet name="Labor Billing Rate" sheetId="3" r:id="rId2"/>
    <sheet name="Pricing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13" i="3"/>
  <c r="D12" i="3"/>
  <c r="D10" i="3"/>
  <c r="D11" i="3"/>
  <c r="J6" i="3" l="1"/>
  <c r="F6" i="3"/>
  <c r="F43" i="1" l="1"/>
  <c r="F40" i="1"/>
  <c r="F38" i="1"/>
  <c r="D38" i="1"/>
  <c r="F36" i="1"/>
  <c r="I21" i="2"/>
  <c r="E21" i="2"/>
  <c r="E20" i="2"/>
  <c r="E19" i="2"/>
  <c r="E18" i="2"/>
  <c r="E17" i="2"/>
  <c r="E16" i="2"/>
  <c r="E15" i="2"/>
  <c r="E7" i="2"/>
  <c r="G17" i="2" s="1"/>
  <c r="I17" i="2" s="1"/>
  <c r="E6" i="2"/>
  <c r="C23" i="2"/>
  <c r="E23" i="2" s="1"/>
  <c r="F8" i="3"/>
  <c r="F14" i="3" l="1"/>
  <c r="H14" i="3" s="1"/>
  <c r="F12" i="3"/>
  <c r="F11" i="3"/>
  <c r="H11" i="3" s="1"/>
  <c r="F10" i="3"/>
  <c r="H10" i="3" s="1"/>
  <c r="F13" i="3"/>
  <c r="H13" i="3" s="1"/>
  <c r="G23" i="2"/>
  <c r="I23" i="2" s="1"/>
  <c r="G19" i="2"/>
  <c r="I19" i="2" s="1"/>
  <c r="G18" i="2"/>
  <c r="I18" i="2" s="1"/>
  <c r="G15" i="2"/>
  <c r="I15" i="2" s="1"/>
  <c r="G16" i="2"/>
  <c r="I16" i="2" s="1"/>
  <c r="G20" i="2"/>
  <c r="I20" i="2" s="1"/>
  <c r="H12" i="3"/>
  <c r="J8" i="3"/>
  <c r="F20" i="1"/>
  <c r="D10" i="1"/>
  <c r="D21" i="1" s="1"/>
  <c r="F21" i="1" s="1"/>
  <c r="F8" i="1"/>
  <c r="F7" i="1"/>
  <c r="F6" i="1"/>
  <c r="J14" i="3" l="1"/>
  <c r="L14" i="3" s="1"/>
  <c r="J12" i="3"/>
  <c r="L12" i="3" s="1"/>
  <c r="J11" i="3"/>
  <c r="L11" i="3" s="1"/>
  <c r="J10" i="3"/>
  <c r="L10" i="3" s="1"/>
  <c r="J13" i="3"/>
  <c r="L13" i="3" s="1"/>
  <c r="I26" i="2"/>
  <c r="G26" i="2"/>
  <c r="F10" i="1"/>
  <c r="H10" i="1" s="1"/>
  <c r="H25" i="1" s="1"/>
  <c r="H29" i="1" s="1"/>
  <c r="D13" i="1"/>
  <c r="F13" i="1" s="1"/>
  <c r="D15" i="1"/>
  <c r="F15" i="1" s="1"/>
  <c r="D16" i="1"/>
  <c r="F16" i="1" s="1"/>
  <c r="D18" i="1"/>
  <c r="F18" i="1" s="1"/>
  <c r="D14" i="1"/>
  <c r="F14" i="1" s="1"/>
  <c r="D19" i="1"/>
  <c r="F19" i="1" s="1"/>
  <c r="F23" i="1" l="1"/>
  <c r="F25" i="1" s="1"/>
  <c r="F29" i="1" s="1"/>
  <c r="D23" i="1"/>
  <c r="D25" i="1" s="1"/>
</calcChain>
</file>

<file path=xl/sharedStrings.xml><?xml version="1.0" encoding="utf-8"?>
<sst xmlns="http://schemas.openxmlformats.org/spreadsheetml/2006/main" count="68" uniqueCount="62">
  <si>
    <t>Labor Burden Rate</t>
  </si>
  <si>
    <t>Monthly</t>
  </si>
  <si>
    <t>Annual</t>
  </si>
  <si>
    <t>Simplified Method</t>
  </si>
  <si>
    <t>Earnings</t>
  </si>
  <si>
    <t>Base Salary</t>
  </si>
  <si>
    <t>Bonuses</t>
  </si>
  <si>
    <t>Commissions</t>
  </si>
  <si>
    <t>TOTAL EARNINGS</t>
  </si>
  <si>
    <t>Benefits</t>
  </si>
  <si>
    <t>Rate</t>
  </si>
  <si>
    <t>Wage Cap</t>
  </si>
  <si>
    <t>Employer Taxes - Soc Sec</t>
  </si>
  <si>
    <t>Employer Taxes - Medicare</t>
  </si>
  <si>
    <t>Employer Taxes - FUTA</t>
  </si>
  <si>
    <t>Employer Taxes - SUTA</t>
  </si>
  <si>
    <t>Worker's Comp Premium</t>
  </si>
  <si>
    <t>Medical/Dental premium</t>
  </si>
  <si>
    <t xml:space="preserve">Pension/Retirement </t>
  </si>
  <si>
    <t>TOTAL BENEFITS</t>
  </si>
  <si>
    <t>TOTAL FULLY-BURDENED COST</t>
  </si>
  <si>
    <t>WORKING HOURS PER YEAR</t>
  </si>
  <si>
    <t>HOURLY BURDEN RATE</t>
  </si>
  <si>
    <t>Labor Billing Rate</t>
  </si>
  <si>
    <t>Multiplier</t>
  </si>
  <si>
    <t>Hourly burden rate</t>
  </si>
  <si>
    <t>Desired Gross Profit Margin</t>
  </si>
  <si>
    <t>Overhead Expenses</t>
  </si>
  <si>
    <t>Labor Burden Worksheet</t>
  </si>
  <si>
    <t>Total Annual Cost</t>
  </si>
  <si>
    <t>Billable Hours Percentage</t>
  </si>
  <si>
    <t>Company Gross Profit Margin</t>
  </si>
  <si>
    <t>Annual Revenue</t>
  </si>
  <si>
    <t>Billing Rate</t>
  </si>
  <si>
    <t>Employee Actual</t>
  </si>
  <si>
    <t>Employee Simplified</t>
  </si>
  <si>
    <t>Service Pricing</t>
  </si>
  <si>
    <t>Per Unit or Device</t>
  </si>
  <si>
    <t>Unit Cost</t>
  </si>
  <si>
    <t>Total Cost</t>
  </si>
  <si>
    <t>Constants</t>
  </si>
  <si>
    <t>Desired Margin</t>
  </si>
  <si>
    <t>Unit Price</t>
  </si>
  <si>
    <t>Extended Price</t>
  </si>
  <si>
    <t>Remote Management</t>
  </si>
  <si>
    <t>Anti-Virus</t>
  </si>
  <si>
    <t>Microsoft 365</t>
  </si>
  <si>
    <t>Security/Threat Protection</t>
  </si>
  <si>
    <t>List additional services</t>
  </si>
  <si>
    <t xml:space="preserve">    and subscriptions</t>
  </si>
  <si>
    <t>Labor Multiplier</t>
  </si>
  <si>
    <t>Pricing Per Unit</t>
  </si>
  <si>
    <t>Labor Hours per unit per month</t>
  </si>
  <si>
    <t>Quantity / Number of Units</t>
  </si>
  <si>
    <t>Hiring Guide</t>
  </si>
  <si>
    <t>Net Profit Margin</t>
  </si>
  <si>
    <t>Current</t>
  </si>
  <si>
    <t>Proposed</t>
  </si>
  <si>
    <t>Total Income from P&amp;L</t>
  </si>
  <si>
    <t>Net Profit in Dollars</t>
  </si>
  <si>
    <t>Reduction in Profits</t>
  </si>
  <si>
    <t>New Hire surplus in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</si>
</sst>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1" xfId="1" applyFont="1" applyBorder="1"/>
    <xf numFmtId="43" fontId="0" fillId="0" borderId="0" xfId="0" applyNumberFormat="1"/>
    <xf numFmtId="9" fontId="0" fillId="0" borderId="0" xfId="1" applyNumberFormat="1" applyFont="1"/>
    <xf numFmtId="164" fontId="0" fillId="0" borderId="0" xfId="2" applyNumberFormat="1" applyFont="1"/>
    <xf numFmtId="43" fontId="0" fillId="0" borderId="0" xfId="1" applyFont="1" applyBorder="1"/>
    <xf numFmtId="9" fontId="0" fillId="0" borderId="0" xfId="0" applyNumberFormat="1"/>
    <xf numFmtId="9" fontId="0" fillId="0" borderId="0" xfId="2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1" applyNumberFormat="1" applyFont="1"/>
    <xf numFmtId="10" fontId="0" fillId="0" borderId="0" xfId="0" applyNumberFormat="1"/>
    <xf numFmtId="44" fontId="0" fillId="0" borderId="0" xfId="3" applyFont="1"/>
    <xf numFmtId="0" fontId="0" fillId="0" borderId="0" xfId="0" applyFill="1" applyBorder="1"/>
    <xf numFmtId="43" fontId="0" fillId="0" borderId="1" xfId="0" applyNumberFormat="1" applyBorder="1"/>
    <xf numFmtId="44" fontId="0" fillId="0" borderId="2" xfId="3" applyFont="1" applyBorder="1"/>
    <xf numFmtId="10" fontId="0" fillId="0" borderId="0" xfId="1" applyNumberFormat="1" applyFont="1"/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/>
  </sheetViews>
  <sheetFormatPr defaultRowHeight="15" x14ac:dyDescent="0.25"/>
  <cols>
    <col min="1" max="1" width="3.5703125" customWidth="1"/>
    <col min="2" max="2" width="26.85546875" customWidth="1"/>
    <col min="3" max="3" width="7.85546875" customWidth="1"/>
    <col min="4" max="4" width="14.5703125" style="1" customWidth="1"/>
    <col min="5" max="5" width="1.85546875" style="1" customWidth="1"/>
    <col min="6" max="6" width="15" style="1" customWidth="1"/>
    <col min="7" max="7" width="2.28515625" customWidth="1"/>
    <col min="8" max="8" width="18.5703125" customWidth="1"/>
    <col min="9" max="9" width="2" customWidth="1"/>
    <col min="10" max="10" width="16.42578125" style="1" customWidth="1"/>
  </cols>
  <sheetData>
    <row r="1" spans="1:10" x14ac:dyDescent="0.25">
      <c r="A1" t="s">
        <v>28</v>
      </c>
    </row>
    <row r="4" spans="1:10" x14ac:dyDescent="0.25">
      <c r="A4" s="2" t="s">
        <v>0</v>
      </c>
      <c r="B4" s="2"/>
      <c r="D4" s="3" t="s">
        <v>1</v>
      </c>
      <c r="E4" s="4"/>
      <c r="F4" s="3" t="s">
        <v>2</v>
      </c>
      <c r="H4" s="5" t="s">
        <v>3</v>
      </c>
    </row>
    <row r="5" spans="1:10" x14ac:dyDescent="0.25">
      <c r="A5" s="6" t="s">
        <v>4</v>
      </c>
      <c r="B5" s="6"/>
    </row>
    <row r="6" spans="1:10" x14ac:dyDescent="0.25">
      <c r="B6" t="s">
        <v>5</v>
      </c>
      <c r="D6" s="1">
        <v>4333.33</v>
      </c>
      <c r="F6" s="1">
        <f>D6*12</f>
        <v>51999.96</v>
      </c>
    </row>
    <row r="7" spans="1:10" x14ac:dyDescent="0.25">
      <c r="B7" t="s">
        <v>6</v>
      </c>
      <c r="F7" s="1">
        <f>D7*12</f>
        <v>0</v>
      </c>
    </row>
    <row r="8" spans="1:10" x14ac:dyDescent="0.25">
      <c r="B8" t="s">
        <v>7</v>
      </c>
      <c r="D8" s="7"/>
      <c r="F8" s="7">
        <f>D8*12</f>
        <v>0</v>
      </c>
    </row>
    <row r="10" spans="1:10" x14ac:dyDescent="0.25">
      <c r="B10" t="s">
        <v>8</v>
      </c>
      <c r="D10" s="1">
        <f>SUM(D6:D8)</f>
        <v>4333.33</v>
      </c>
      <c r="F10" s="1">
        <f>SUM(F6:F8)</f>
        <v>51999.96</v>
      </c>
      <c r="H10" s="8">
        <f>SUM((F10*J10)+F10)</f>
        <v>67599.948000000004</v>
      </c>
      <c r="J10" s="9">
        <v>0.3</v>
      </c>
    </row>
    <row r="12" spans="1:10" x14ac:dyDescent="0.25">
      <c r="A12" t="s">
        <v>9</v>
      </c>
      <c r="C12" t="s">
        <v>10</v>
      </c>
      <c r="J12" s="4" t="s">
        <v>11</v>
      </c>
    </row>
    <row r="13" spans="1:10" x14ac:dyDescent="0.25">
      <c r="B13" t="s">
        <v>12</v>
      </c>
      <c r="C13" s="10">
        <v>6.2E-2</v>
      </c>
      <c r="D13" s="11">
        <f>$D$10*C13</f>
        <v>268.66645999999997</v>
      </c>
      <c r="F13" s="1">
        <f>MIN((D13*12),J13*C13)</f>
        <v>3223.9975199999999</v>
      </c>
      <c r="J13" s="1">
        <v>137700</v>
      </c>
    </row>
    <row r="14" spans="1:10" x14ac:dyDescent="0.25">
      <c r="B14" t="s">
        <v>13</v>
      </c>
      <c r="C14" s="10">
        <v>1.4500000000000001E-2</v>
      </c>
      <c r="D14" s="11">
        <f>$D$10*C14</f>
        <v>62.833285000000004</v>
      </c>
      <c r="F14" s="1">
        <f t="shared" ref="F14" si="0">D14*12</f>
        <v>753.9994200000001</v>
      </c>
    </row>
    <row r="15" spans="1:10" x14ac:dyDescent="0.25">
      <c r="B15" t="s">
        <v>14</v>
      </c>
      <c r="C15" s="10">
        <v>6.0000000000000001E-3</v>
      </c>
      <c r="D15" s="1">
        <f>MIN(($D$10*C15),J15*C15)</f>
        <v>25.999980000000001</v>
      </c>
      <c r="F15" s="1">
        <f>MIN((D15*12),J15*C15)</f>
        <v>42</v>
      </c>
      <c r="J15" s="1">
        <v>7000</v>
      </c>
    </row>
    <row r="16" spans="1:10" x14ac:dyDescent="0.25">
      <c r="B16" t="s">
        <v>15</v>
      </c>
      <c r="C16" s="10">
        <v>0.01</v>
      </c>
      <c r="D16" s="1">
        <f>MIN(($D$10*C16),J16*C16)</f>
        <v>43.333300000000001</v>
      </c>
      <c r="F16" s="1">
        <f>MIN((D16*12),J16*C16)</f>
        <v>80</v>
      </c>
      <c r="J16" s="1">
        <v>8000</v>
      </c>
    </row>
    <row r="17" spans="1:8" x14ac:dyDescent="0.25">
      <c r="C17" s="10"/>
    </row>
    <row r="18" spans="1:8" x14ac:dyDescent="0.25">
      <c r="B18" t="s">
        <v>27</v>
      </c>
      <c r="C18" s="10">
        <v>0.05</v>
      </c>
      <c r="D18" s="11">
        <f>$D$10*C18</f>
        <v>216.66650000000001</v>
      </c>
      <c r="F18" s="11">
        <f>D18*12</f>
        <v>2599.998</v>
      </c>
    </row>
    <row r="19" spans="1:8" x14ac:dyDescent="0.25">
      <c r="B19" t="s">
        <v>16</v>
      </c>
      <c r="C19" s="10">
        <v>5.6000000000000001E-2</v>
      </c>
      <c r="D19" s="1">
        <f>D10*C19</f>
        <v>242.66648000000001</v>
      </c>
      <c r="F19" s="11">
        <f t="shared" ref="F19:F21" si="1">D19*12</f>
        <v>2911.9977600000002</v>
      </c>
    </row>
    <row r="20" spans="1:8" x14ac:dyDescent="0.25">
      <c r="B20" t="s">
        <v>17</v>
      </c>
      <c r="D20" s="1">
        <v>750</v>
      </c>
      <c r="F20" s="11">
        <f t="shared" si="1"/>
        <v>9000</v>
      </c>
    </row>
    <row r="21" spans="1:8" x14ac:dyDescent="0.25">
      <c r="B21" t="s">
        <v>18</v>
      </c>
      <c r="C21" s="12">
        <v>0.03</v>
      </c>
      <c r="D21" s="7">
        <f>$D$10*C21</f>
        <v>129.9999</v>
      </c>
      <c r="F21" s="7">
        <f t="shared" si="1"/>
        <v>1559.9987999999998</v>
      </c>
    </row>
    <row r="23" spans="1:8" x14ac:dyDescent="0.25">
      <c r="B23" t="s">
        <v>19</v>
      </c>
      <c r="D23" s="1">
        <f>SUM(D13:D21)</f>
        <v>1740.1659050000001</v>
      </c>
      <c r="F23" s="1">
        <f>SUM(F13:F21)</f>
        <v>20171.991500000004</v>
      </c>
    </row>
    <row r="25" spans="1:8" x14ac:dyDescent="0.25">
      <c r="B25" t="s">
        <v>20</v>
      </c>
      <c r="D25" s="1">
        <f>D10+D23</f>
        <v>6073.4959049999998</v>
      </c>
      <c r="F25" s="1">
        <f>F10+F23</f>
        <v>72171.951499999996</v>
      </c>
      <c r="H25" s="1">
        <f>H10+H23</f>
        <v>67599.948000000004</v>
      </c>
    </row>
    <row r="27" spans="1:8" x14ac:dyDescent="0.25">
      <c r="B27" t="s">
        <v>21</v>
      </c>
      <c r="F27" s="14">
        <v>2080</v>
      </c>
      <c r="G27" s="15"/>
      <c r="H27" s="14">
        <v>2080</v>
      </c>
    </row>
    <row r="28" spans="1:8" x14ac:dyDescent="0.25">
      <c r="H28" s="1"/>
    </row>
    <row r="29" spans="1:8" x14ac:dyDescent="0.25">
      <c r="B29" t="s">
        <v>22</v>
      </c>
      <c r="F29" s="1">
        <f>F25/F27</f>
        <v>34.698053605769232</v>
      </c>
      <c r="H29" s="1">
        <f>H25/H27</f>
        <v>32.499974999999999</v>
      </c>
    </row>
    <row r="32" spans="1:8" x14ac:dyDescent="0.25">
      <c r="A32" s="2" t="s">
        <v>54</v>
      </c>
      <c r="B32" s="2"/>
      <c r="D32" s="3" t="s">
        <v>56</v>
      </c>
      <c r="E32" s="4"/>
      <c r="F32" s="3" t="s">
        <v>57</v>
      </c>
    </row>
    <row r="34" spans="2:8" x14ac:dyDescent="0.25">
      <c r="B34" t="s">
        <v>55</v>
      </c>
      <c r="D34" s="23">
        <v>0.12429999999999999</v>
      </c>
      <c r="F34" s="9">
        <v>0.1</v>
      </c>
      <c r="H34" s="1"/>
    </row>
    <row r="36" spans="2:8" x14ac:dyDescent="0.25">
      <c r="B36" t="s">
        <v>58</v>
      </c>
      <c r="C36" s="13"/>
      <c r="D36" s="19">
        <v>851482.05</v>
      </c>
      <c r="F36" s="19">
        <f>+D36</f>
        <v>851482.05</v>
      </c>
      <c r="H36" s="8"/>
    </row>
    <row r="37" spans="2:8" x14ac:dyDescent="0.25">
      <c r="C37" s="13"/>
      <c r="D37" s="9"/>
      <c r="H37" s="8"/>
    </row>
    <row r="38" spans="2:8" x14ac:dyDescent="0.25">
      <c r="B38" t="s">
        <v>59</v>
      </c>
      <c r="C38" s="13"/>
      <c r="D38" s="19">
        <f>D36*D34</f>
        <v>105839.218815</v>
      </c>
      <c r="F38" s="19">
        <f>F36*F34</f>
        <v>85148.205000000016</v>
      </c>
      <c r="H38" s="8"/>
    </row>
    <row r="39" spans="2:8" x14ac:dyDescent="0.25">
      <c r="C39" s="13"/>
      <c r="D39" s="9"/>
      <c r="H39" s="8"/>
    </row>
    <row r="40" spans="2:8" x14ac:dyDescent="0.25">
      <c r="B40" t="s">
        <v>60</v>
      </c>
      <c r="C40" s="13"/>
      <c r="D40" s="9"/>
      <c r="F40" s="1">
        <f>D38-F38</f>
        <v>20691.013814999984</v>
      </c>
      <c r="H40" s="8"/>
    </row>
    <row r="43" spans="2:8" x14ac:dyDescent="0.25">
      <c r="B43" t="s">
        <v>61</v>
      </c>
      <c r="F43" s="1">
        <f>F40/H25</f>
        <v>0.30608032146711095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C08A-D357-4E1F-85A3-1B50210D3F2F}">
  <dimension ref="A1:L21"/>
  <sheetViews>
    <sheetView workbookViewId="0"/>
  </sheetViews>
  <sheetFormatPr defaultRowHeight="15" x14ac:dyDescent="0.25"/>
  <cols>
    <col min="1" max="1" width="25.7109375" customWidth="1"/>
    <col min="2" max="2" width="2.5703125" customWidth="1"/>
    <col min="3" max="3" width="11" customWidth="1"/>
    <col min="4" max="4" width="11" hidden="1" customWidth="1"/>
    <col min="5" max="5" width="3" customWidth="1"/>
    <col min="6" max="6" width="19.5703125" bestFit="1" customWidth="1"/>
    <col min="7" max="7" width="2" customWidth="1"/>
    <col min="8" max="8" width="14.42578125" customWidth="1"/>
    <col min="9" max="9" width="1.85546875" customWidth="1"/>
    <col min="10" max="10" width="19.5703125" bestFit="1" customWidth="1"/>
    <col min="11" max="11" width="2" customWidth="1"/>
    <col min="12" max="12" width="14.42578125" customWidth="1"/>
  </cols>
  <sheetData>
    <row r="1" spans="1:12" x14ac:dyDescent="0.25">
      <c r="A1" t="s">
        <v>23</v>
      </c>
    </row>
    <row r="4" spans="1:12" x14ac:dyDescent="0.25">
      <c r="F4" s="24" t="s">
        <v>34</v>
      </c>
      <c r="G4" s="24"/>
      <c r="H4" s="24"/>
      <c r="J4" s="24" t="s">
        <v>35</v>
      </c>
      <c r="K4" s="24"/>
      <c r="L4" s="24"/>
    </row>
    <row r="5" spans="1:12" s="16" customFormat="1" x14ac:dyDescent="0.25">
      <c r="C5" s="5" t="s">
        <v>10</v>
      </c>
      <c r="D5" s="3" t="s">
        <v>24</v>
      </c>
      <c r="E5" s="4"/>
      <c r="F5" s="3" t="s">
        <v>32</v>
      </c>
      <c r="H5" s="5" t="s">
        <v>33</v>
      </c>
      <c r="J5" s="3" t="s">
        <v>32</v>
      </c>
      <c r="L5" s="5" t="s">
        <v>33</v>
      </c>
    </row>
    <row r="6" spans="1:12" x14ac:dyDescent="0.25">
      <c r="A6" t="s">
        <v>25</v>
      </c>
      <c r="D6" s="1"/>
      <c r="E6" s="1"/>
      <c r="F6" s="1">
        <f>'Labor Burden'!F29</f>
        <v>34.698053605769232</v>
      </c>
      <c r="J6" s="1">
        <f>+'Labor Burden'!H29</f>
        <v>32.499974999999999</v>
      </c>
    </row>
    <row r="7" spans="1:12" x14ac:dyDescent="0.25">
      <c r="D7" s="1"/>
      <c r="E7" s="1"/>
      <c r="F7" s="1"/>
      <c r="H7" s="19"/>
      <c r="J7" s="1"/>
      <c r="L7" s="19"/>
    </row>
    <row r="8" spans="1:12" x14ac:dyDescent="0.25">
      <c r="A8" t="s">
        <v>29</v>
      </c>
      <c r="D8" s="14">
        <v>2080</v>
      </c>
      <c r="E8" s="1"/>
      <c r="F8" s="1">
        <f>F6*D8</f>
        <v>72171.951499999996</v>
      </c>
      <c r="H8" s="19"/>
      <c r="J8" s="1">
        <f>J6*D8</f>
        <v>67599.948000000004</v>
      </c>
      <c r="L8" s="19"/>
    </row>
    <row r="9" spans="1:12" x14ac:dyDescent="0.25">
      <c r="D9" s="14"/>
      <c r="E9" s="1"/>
      <c r="F9" s="19"/>
      <c r="H9" s="19"/>
      <c r="J9" s="19"/>
      <c r="L9" s="19"/>
    </row>
    <row r="10" spans="1:12" x14ac:dyDescent="0.25">
      <c r="A10" t="s">
        <v>26</v>
      </c>
      <c r="C10" s="13">
        <v>0.6</v>
      </c>
      <c r="D10" s="17">
        <f>SUM(2.5+C10)</f>
        <v>3.1</v>
      </c>
      <c r="E10" s="1"/>
      <c r="F10" s="1">
        <f>$F$8*D10</f>
        <v>223733.04965</v>
      </c>
      <c r="H10" s="19">
        <f>SUM(F10/($D$8*$C$19))</f>
        <v>122.93024706043956</v>
      </c>
      <c r="J10" s="1">
        <f>$J$8*D10</f>
        <v>209559.83880000003</v>
      </c>
      <c r="L10" s="19">
        <f>SUM(J10/($D$8*$C$19))</f>
        <v>115.14276857142859</v>
      </c>
    </row>
    <row r="11" spans="1:12" x14ac:dyDescent="0.25">
      <c r="C11" s="13">
        <v>0.65</v>
      </c>
      <c r="D11" s="17">
        <f>SUM(2.5+C11)</f>
        <v>3.15</v>
      </c>
      <c r="E11" s="1"/>
      <c r="F11" s="1">
        <f>$F$8*D11</f>
        <v>227341.64722499999</v>
      </c>
      <c r="H11" s="19">
        <f t="shared" ref="H11:H14" si="0">SUM(F11/($D$8*$C$19))</f>
        <v>124.91299298076923</v>
      </c>
      <c r="J11" s="1">
        <f>$J$8*D11</f>
        <v>212939.83620000002</v>
      </c>
      <c r="L11" s="19">
        <f t="shared" ref="L11:L14" si="1">SUM(J11/($D$8*$C$19))</f>
        <v>116.99991000000001</v>
      </c>
    </row>
    <row r="12" spans="1:12" x14ac:dyDescent="0.25">
      <c r="C12" s="13">
        <v>0.7</v>
      </c>
      <c r="D12" s="17">
        <f t="shared" ref="D12:D14" si="2">SUM(2.5+C12)</f>
        <v>3.2</v>
      </c>
      <c r="E12" s="1"/>
      <c r="F12" s="1">
        <f>$F$8*D12</f>
        <v>230950.24479999999</v>
      </c>
      <c r="H12" s="19">
        <f t="shared" si="0"/>
        <v>126.89573890109889</v>
      </c>
      <c r="J12" s="1">
        <f>$J$8*D12</f>
        <v>216319.83360000001</v>
      </c>
      <c r="L12" s="19">
        <f t="shared" si="1"/>
        <v>118.85705142857144</v>
      </c>
    </row>
    <row r="13" spans="1:12" x14ac:dyDescent="0.25">
      <c r="C13" s="13">
        <v>0.75</v>
      </c>
      <c r="D13" s="17">
        <f t="shared" si="2"/>
        <v>3.25</v>
      </c>
      <c r="E13" s="1"/>
      <c r="F13" s="1">
        <f>$F$8*D13</f>
        <v>234558.84237499998</v>
      </c>
      <c r="H13" s="19">
        <f t="shared" si="0"/>
        <v>128.87848482142857</v>
      </c>
      <c r="J13" s="1">
        <f>$J$8*D13</f>
        <v>219699.83100000001</v>
      </c>
      <c r="L13" s="19">
        <f t="shared" si="1"/>
        <v>120.71419285714286</v>
      </c>
    </row>
    <row r="14" spans="1:12" x14ac:dyDescent="0.25">
      <c r="C14" s="13">
        <v>0.8</v>
      </c>
      <c r="D14" s="17">
        <f t="shared" si="2"/>
        <v>3.3</v>
      </c>
      <c r="E14" s="1"/>
      <c r="F14" s="1">
        <f>$F$8*D14</f>
        <v>238167.43994999997</v>
      </c>
      <c r="H14" s="19">
        <f t="shared" si="0"/>
        <v>130.86123074175822</v>
      </c>
      <c r="J14" s="1">
        <f>$J$8*D14</f>
        <v>223079.8284</v>
      </c>
      <c r="L14" s="19">
        <f t="shared" si="1"/>
        <v>122.57133428571429</v>
      </c>
    </row>
    <row r="15" spans="1:12" x14ac:dyDescent="0.25">
      <c r="D15" s="1"/>
      <c r="E15" s="1"/>
      <c r="F15" s="19"/>
      <c r="H15" s="19"/>
      <c r="J15" s="19"/>
      <c r="L15" s="19"/>
    </row>
    <row r="16" spans="1:12" x14ac:dyDescent="0.25">
      <c r="F16" s="1"/>
      <c r="J16" s="1"/>
      <c r="L16" s="19"/>
    </row>
    <row r="17" spans="1:12" x14ac:dyDescent="0.25">
      <c r="A17" t="s">
        <v>31</v>
      </c>
      <c r="C17" s="12">
        <v>0.45</v>
      </c>
      <c r="F17" s="1"/>
      <c r="J17" s="1"/>
      <c r="L17" s="19"/>
    </row>
    <row r="18" spans="1:12" x14ac:dyDescent="0.25">
      <c r="F18" s="1"/>
      <c r="J18" s="1"/>
    </row>
    <row r="19" spans="1:12" x14ac:dyDescent="0.25">
      <c r="A19" t="s">
        <v>30</v>
      </c>
      <c r="C19" s="18">
        <v>0.875</v>
      </c>
      <c r="F19" s="1"/>
      <c r="J19" s="1"/>
    </row>
    <row r="20" spans="1:12" x14ac:dyDescent="0.25">
      <c r="F20" s="1"/>
      <c r="J20" s="1"/>
    </row>
    <row r="21" spans="1:12" x14ac:dyDescent="0.25">
      <c r="D21" s="1"/>
      <c r="E21" s="1"/>
      <c r="F21" s="1"/>
      <c r="J21" s="1"/>
    </row>
  </sheetData>
  <mergeCells count="2">
    <mergeCell ref="F4:H4"/>
    <mergeCell ref="J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C467-90F7-4354-9542-3962B6C22B7E}">
  <dimension ref="A1:R27"/>
  <sheetViews>
    <sheetView workbookViewId="0">
      <selection activeCell="E8" sqref="E8"/>
    </sheetView>
  </sheetViews>
  <sheetFormatPr defaultRowHeight="15" x14ac:dyDescent="0.25"/>
  <cols>
    <col min="1" max="1" width="31.42578125" customWidth="1"/>
    <col min="2" max="2" width="8.28515625" customWidth="1"/>
    <col min="3" max="3" width="13.85546875" customWidth="1"/>
    <col min="4" max="4" width="1.85546875" customWidth="1"/>
    <col min="5" max="5" width="12.7109375" customWidth="1"/>
    <col min="6" max="6" width="2.28515625" customWidth="1"/>
    <col min="7" max="7" width="16.140625" customWidth="1"/>
    <col min="8" max="8" width="2.140625" customWidth="1"/>
    <col min="9" max="9" width="15.140625" customWidth="1"/>
    <col min="10" max="10" width="2.140625" customWidth="1"/>
    <col min="11" max="11" width="16.85546875" customWidth="1"/>
    <col min="12" max="12" width="2" customWidth="1"/>
    <col min="13" max="13" width="14.42578125" customWidth="1"/>
    <col min="14" max="14" width="1.85546875" customWidth="1"/>
    <col min="15" max="15" width="19.5703125" bestFit="1" customWidth="1"/>
    <col min="16" max="16" width="2" customWidth="1"/>
    <col min="17" max="17" width="14.42578125" customWidth="1"/>
  </cols>
  <sheetData>
    <row r="1" spans="1:18" x14ac:dyDescent="0.25">
      <c r="A1" t="s">
        <v>36</v>
      </c>
    </row>
    <row r="5" spans="1:18" x14ac:dyDescent="0.25">
      <c r="A5" s="2" t="s">
        <v>40</v>
      </c>
      <c r="C5" s="5" t="s">
        <v>10</v>
      </c>
      <c r="D5" s="16"/>
      <c r="E5" s="5" t="s">
        <v>24</v>
      </c>
    </row>
    <row r="6" spans="1:18" x14ac:dyDescent="0.25">
      <c r="A6" s="6" t="s">
        <v>31</v>
      </c>
      <c r="C6" s="12">
        <v>0.5</v>
      </c>
      <c r="E6" s="1">
        <f>SUM(1+C6)</f>
        <v>1.5</v>
      </c>
    </row>
    <row r="7" spans="1:18" x14ac:dyDescent="0.25">
      <c r="A7" s="20" t="s">
        <v>41</v>
      </c>
      <c r="C7" s="12">
        <v>0.6</v>
      </c>
      <c r="E7" s="1">
        <f>SUM(1+C7)</f>
        <v>1.6</v>
      </c>
    </row>
    <row r="8" spans="1:18" x14ac:dyDescent="0.25">
      <c r="A8" s="20" t="s">
        <v>50</v>
      </c>
      <c r="E8" s="1">
        <v>3.5</v>
      </c>
    </row>
    <row r="9" spans="1:18" x14ac:dyDescent="0.25">
      <c r="A9" s="20" t="s">
        <v>53</v>
      </c>
      <c r="E9" s="14">
        <v>20</v>
      </c>
    </row>
    <row r="10" spans="1:18" x14ac:dyDescent="0.25">
      <c r="A10" s="20"/>
    </row>
    <row r="11" spans="1:18" x14ac:dyDescent="0.25">
      <c r="A11" s="20"/>
    </row>
    <row r="13" spans="1:18" x14ac:dyDescent="0.25">
      <c r="A13" s="2" t="s">
        <v>37</v>
      </c>
      <c r="C13" s="5" t="s">
        <v>38</v>
      </c>
      <c r="D13" s="16"/>
      <c r="E13" s="5" t="s">
        <v>39</v>
      </c>
      <c r="F13" s="16"/>
      <c r="G13" s="5" t="s">
        <v>42</v>
      </c>
      <c r="H13" s="16"/>
      <c r="I13" s="5" t="s">
        <v>43</v>
      </c>
      <c r="L13" s="16"/>
      <c r="M13" s="16"/>
      <c r="N13" s="16"/>
      <c r="O13" s="16"/>
      <c r="P13" s="16"/>
      <c r="Q13" s="16"/>
      <c r="R13" s="16"/>
    </row>
    <row r="14" spans="1:18" x14ac:dyDescent="0.25">
      <c r="G14" s="13"/>
    </row>
    <row r="15" spans="1:18" x14ac:dyDescent="0.25">
      <c r="A15" t="s">
        <v>44</v>
      </c>
      <c r="C15" s="1">
        <v>1.4</v>
      </c>
      <c r="E15" s="8">
        <f t="shared" ref="E15:E21" si="0">SUM(C15*$E$9)</f>
        <v>28</v>
      </c>
      <c r="G15" s="8">
        <f t="shared" ref="G15:G20" si="1">SUM((C15*$E$6)*$E$7)</f>
        <v>3.3599999999999994</v>
      </c>
      <c r="I15" s="8">
        <f>G15*$E$9</f>
        <v>67.199999999999989</v>
      </c>
    </row>
    <row r="16" spans="1:18" x14ac:dyDescent="0.25">
      <c r="A16" t="s">
        <v>45</v>
      </c>
      <c r="C16" s="1">
        <v>0.99</v>
      </c>
      <c r="E16" s="8">
        <f t="shared" si="0"/>
        <v>19.8</v>
      </c>
      <c r="G16" s="8">
        <f t="shared" si="1"/>
        <v>2.3759999999999999</v>
      </c>
      <c r="I16" s="8">
        <f t="shared" ref="I16:I21" si="2">G16*$E$9</f>
        <v>47.519999999999996</v>
      </c>
    </row>
    <row r="17" spans="1:9" x14ac:dyDescent="0.25">
      <c r="A17" t="s">
        <v>46</v>
      </c>
      <c r="C17" s="1">
        <v>18.989999999999998</v>
      </c>
      <c r="E17" s="8">
        <f t="shared" si="0"/>
        <v>379.79999999999995</v>
      </c>
      <c r="G17" s="8">
        <f t="shared" si="1"/>
        <v>45.576000000000001</v>
      </c>
      <c r="I17" s="8">
        <f t="shared" si="2"/>
        <v>911.52</v>
      </c>
    </row>
    <row r="18" spans="1:9" x14ac:dyDescent="0.25">
      <c r="A18" t="s">
        <v>47</v>
      </c>
      <c r="C18" s="1">
        <v>4</v>
      </c>
      <c r="E18" s="8">
        <f t="shared" si="0"/>
        <v>80</v>
      </c>
      <c r="G18" s="8">
        <f t="shared" si="1"/>
        <v>9.6000000000000014</v>
      </c>
      <c r="I18" s="8">
        <f t="shared" si="2"/>
        <v>192.00000000000003</v>
      </c>
    </row>
    <row r="19" spans="1:9" x14ac:dyDescent="0.25">
      <c r="A19" t="s">
        <v>48</v>
      </c>
      <c r="C19" s="1"/>
      <c r="E19" s="8">
        <f t="shared" si="0"/>
        <v>0</v>
      </c>
      <c r="G19" s="8">
        <f t="shared" si="1"/>
        <v>0</v>
      </c>
      <c r="I19" s="8">
        <f t="shared" si="2"/>
        <v>0</v>
      </c>
    </row>
    <row r="20" spans="1:9" x14ac:dyDescent="0.25">
      <c r="A20" t="s">
        <v>49</v>
      </c>
      <c r="C20" s="1"/>
      <c r="E20" s="8">
        <f t="shared" si="0"/>
        <v>0</v>
      </c>
      <c r="G20" s="8">
        <f t="shared" si="1"/>
        <v>0</v>
      </c>
      <c r="I20" s="8">
        <f t="shared" si="2"/>
        <v>0</v>
      </c>
    </row>
    <row r="21" spans="1:9" x14ac:dyDescent="0.25">
      <c r="C21" s="1"/>
      <c r="E21" s="8">
        <f t="shared" si="0"/>
        <v>0</v>
      </c>
      <c r="G21" s="13"/>
      <c r="I21" s="8">
        <f t="shared" si="2"/>
        <v>0</v>
      </c>
    </row>
    <row r="22" spans="1:9" x14ac:dyDescent="0.25">
      <c r="C22" s="1"/>
      <c r="G22" s="13"/>
    </row>
    <row r="23" spans="1:9" x14ac:dyDescent="0.25">
      <c r="A23" t="s">
        <v>52</v>
      </c>
      <c r="B23">
        <v>0.75</v>
      </c>
      <c r="C23" s="1">
        <f>+'Labor Billing Rate'!J6</f>
        <v>32.499974999999999</v>
      </c>
      <c r="E23" s="8">
        <f>SUM((C23*B23)*$E$9)</f>
        <v>487.49962499999992</v>
      </c>
      <c r="G23" s="21">
        <f>SUM((C23*E8)*B23)</f>
        <v>85.312434374999995</v>
      </c>
      <c r="I23" s="21">
        <f>G23*$E$9</f>
        <v>1706.2486875</v>
      </c>
    </row>
    <row r="24" spans="1:9" x14ac:dyDescent="0.25">
      <c r="C24" s="1"/>
      <c r="G24" s="13"/>
    </row>
    <row r="25" spans="1:9" x14ac:dyDescent="0.25">
      <c r="I25" s="13"/>
    </row>
    <row r="26" spans="1:9" ht="15.75" thickBot="1" x14ac:dyDescent="0.3">
      <c r="A26" t="s">
        <v>51</v>
      </c>
      <c r="G26" s="22">
        <f>SUM(G14:G24)</f>
        <v>146.22443437499999</v>
      </c>
      <c r="I26" s="22">
        <f>SUM(I15:I24)</f>
        <v>2924.4886875000002</v>
      </c>
    </row>
    <row r="27" spans="1: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Labor Burden</vt:lpstr>
      <vt:lpstr>Labor Billing Rate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Rayanne Buchianico, EA</dc:creator>
  <cp:lastModifiedBy>Rayanne Buchianico, EA</cp:lastModifiedBy>
  <dcterms:created xsi:type="dcterms:W3CDTF">2018-03-02T17:16:25Z</dcterms:created>
  <dcterms:modified xsi:type="dcterms:W3CDTF">2020-10-14T15:40:20Z</dcterms:modified>
</cp:coreProperties>
</file>